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autoCompressPictures="0"/>
  <bookViews>
    <workbookView xWindow="0" yWindow="0" windowWidth="28780" windowHeight="16140"/>
  </bookViews>
  <sheets>
    <sheet name="2018 Budget" sheetId="11" r:id="rId1"/>
  </sheets>
  <externalReferences>
    <externalReference r:id="rId2"/>
    <externalReference r:id="rId3"/>
    <externalReference r:id="rId4"/>
  </externalReferences>
  <definedNames>
    <definedName name="Chequing">#REF!</definedName>
    <definedName name="Gaming">#REF!</definedName>
    <definedName name="GIC">#REF!</definedName>
    <definedName name="NVSD44nontaxreceipted">#REF!</definedName>
    <definedName name="NVSD44taxreceipted">#REF!</definedName>
    <definedName name="_xlnm.Print_Area" localSheetId="0">'2018 Budget'!$A$1:$E$77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1" l="1"/>
  <c r="P32" i="11"/>
  <c r="Y9" i="11"/>
  <c r="E9" i="11"/>
  <c r="E28" i="11"/>
  <c r="U9" i="11"/>
  <c r="L21" i="11"/>
  <c r="E18" i="11"/>
  <c r="E53" i="11"/>
  <c r="E6" i="11"/>
  <c r="E14" i="11"/>
  <c r="E8" i="11"/>
  <c r="E13" i="11"/>
  <c r="E23" i="11"/>
  <c r="I6" i="11"/>
  <c r="I14" i="11"/>
  <c r="I8" i="11"/>
  <c r="I9" i="11"/>
  <c r="I18" i="11"/>
  <c r="I21" i="11"/>
  <c r="I11" i="11"/>
  <c r="I7" i="11"/>
  <c r="I12" i="11"/>
  <c r="I13" i="11"/>
  <c r="I15" i="11"/>
  <c r="I16" i="11"/>
  <c r="I17" i="11"/>
  <c r="I19" i="11"/>
  <c r="I20" i="11"/>
  <c r="I22" i="11"/>
  <c r="I23" i="11"/>
  <c r="C23" i="11"/>
  <c r="E44" i="11"/>
  <c r="E43" i="11"/>
  <c r="E70" i="11"/>
  <c r="C46" i="11"/>
  <c r="E46" i="11"/>
  <c r="E47" i="11"/>
  <c r="I40" i="11"/>
  <c r="I36" i="11"/>
  <c r="I32" i="11"/>
  <c r="I27" i="11"/>
  <c r="I26" i="11"/>
  <c r="I28" i="11"/>
  <c r="I29" i="11"/>
  <c r="I48" i="11"/>
  <c r="I52" i="11"/>
  <c r="I30" i="11"/>
  <c r="I31" i="11"/>
  <c r="I33" i="11"/>
  <c r="I34" i="11"/>
  <c r="I35" i="11"/>
  <c r="I37" i="11"/>
  <c r="I38" i="11"/>
  <c r="I39" i="11"/>
  <c r="I41" i="11"/>
  <c r="I42" i="11"/>
  <c r="I43" i="11"/>
  <c r="I45" i="11"/>
  <c r="I46" i="11"/>
  <c r="I47" i="11"/>
  <c r="I51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G70" i="11"/>
  <c r="G48" i="11"/>
  <c r="G23" i="11"/>
  <c r="C70" i="11"/>
  <c r="C48" i="11"/>
  <c r="E48" i="11"/>
  <c r="C72" i="11"/>
  <c r="I70" i="11"/>
  <c r="I72" i="11"/>
  <c r="E72" i="11"/>
</calcChain>
</file>

<file path=xl/comments1.xml><?xml version="1.0" encoding="utf-8"?>
<comments xmlns="http://schemas.openxmlformats.org/spreadsheetml/2006/main">
  <authors>
    <author>Scott Taylor</author>
    <author>howie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Scott Taylor:</t>
        </r>
        <r>
          <rPr>
            <sz val="9"/>
            <color indexed="81"/>
            <rFont val="Tahoma"/>
            <family val="2"/>
          </rPr>
          <t xml:space="preserve">
Assumes only 1 hot lunch day.  Impact on revenue will not be 50% since not everyone ordered two days per week and hot lunch team should focus on higher profit menus.
</t>
        </r>
      </text>
    </comment>
    <comment ref="E32" authorId="1">
      <text>
        <r>
          <rPr>
            <b/>
            <sz val="9"/>
            <color indexed="81"/>
            <rFont val="Arial"/>
          </rPr>
          <t>howie:</t>
        </r>
        <r>
          <rPr>
            <sz val="9"/>
            <color indexed="81"/>
            <rFont val="Arial"/>
          </rPr>
          <t xml:space="preserve">
$1837.50 Tennis Program
</t>
        </r>
      </text>
    </comment>
    <comment ref="E34" authorId="1">
      <text>
        <r>
          <rPr>
            <b/>
            <sz val="9"/>
            <color indexed="81"/>
            <rFont val="Arial"/>
          </rPr>
          <t>howie:
16 April 2018 $200 for bus for Education Concert with UNCC. Paid Kay Meek
* Frosty DVD -$115 Loss</t>
        </r>
        <r>
          <rPr>
            <sz val="9"/>
            <color indexed="81"/>
            <rFont val="Arial"/>
          </rPr>
          <t xml:space="preserve"> </t>
        </r>
      </text>
    </comment>
    <comment ref="L43" authorId="1">
      <text>
        <r>
          <rPr>
            <b/>
            <sz val="9"/>
            <color indexed="81"/>
            <rFont val="Arial"/>
          </rPr>
          <t>howie:</t>
        </r>
        <r>
          <rPr>
            <sz val="9"/>
            <color indexed="81"/>
            <rFont val="Arial"/>
          </rPr>
          <t xml:space="preserve">
INV# 105478
Performance Date 25 Oct 2017</t>
        </r>
      </text>
    </comment>
  </commentList>
</comments>
</file>

<file path=xl/sharedStrings.xml><?xml version="1.0" encoding="utf-8"?>
<sst xmlns="http://schemas.openxmlformats.org/spreadsheetml/2006/main" count="119" uniqueCount="112">
  <si>
    <t>Sports Day</t>
  </si>
  <si>
    <t>Revenues</t>
  </si>
  <si>
    <t xml:space="preserve">Christmas market </t>
  </si>
  <si>
    <t>Ski and board program</t>
  </si>
  <si>
    <t>Expenses - MPAC</t>
  </si>
  <si>
    <t>Misc supplies (stamps, printer ink etc)</t>
  </si>
  <si>
    <t>Parent library</t>
  </si>
  <si>
    <t>Promotions (posters etc)</t>
  </si>
  <si>
    <t>Website/email</t>
  </si>
  <si>
    <t>Grade 7 Tea</t>
  </si>
  <si>
    <t>Staff Appreciation Lunch</t>
  </si>
  <si>
    <t>Emergency Preparedness</t>
  </si>
  <si>
    <t>Montroyal School Parent Advisory Council (MPAC)</t>
  </si>
  <si>
    <t>Bingo night</t>
  </si>
  <si>
    <t>Hot lunch - session 1</t>
  </si>
  <si>
    <t>Hot lunch - session 2</t>
  </si>
  <si>
    <t>Iwalk----Iride</t>
  </si>
  <si>
    <t>External Grants</t>
  </si>
  <si>
    <t>Meeting Expenses</t>
  </si>
  <si>
    <t>Programming</t>
  </si>
  <si>
    <t>Performance Arts</t>
  </si>
  <si>
    <t>Hot Lunch</t>
  </si>
  <si>
    <t>Community Events</t>
  </si>
  <si>
    <t>Other</t>
  </si>
  <si>
    <t>Gaming Commission Grant ($20/student)</t>
  </si>
  <si>
    <t>Fundraising</t>
  </si>
  <si>
    <t>Marketplace/ Miscellaneous</t>
  </si>
  <si>
    <t>Parent Education</t>
  </si>
  <si>
    <t>Reserves</t>
  </si>
  <si>
    <t xml:space="preserve">Technology </t>
  </si>
  <si>
    <t xml:space="preserve">Playground Equipment </t>
  </si>
  <si>
    <t>Operating Costs</t>
  </si>
  <si>
    <t>Parent Resources</t>
  </si>
  <si>
    <t>School Support</t>
  </si>
  <si>
    <t>Student Support</t>
  </si>
  <si>
    <t>Apprecation</t>
  </si>
  <si>
    <t>DPAC Speakers/FOS</t>
  </si>
  <si>
    <t>Classroom Enhancements</t>
  </si>
  <si>
    <t>Library Support</t>
  </si>
  <si>
    <t>Music/Drama Support</t>
  </si>
  <si>
    <t>Technology Support</t>
  </si>
  <si>
    <t>Athletic Enhancements</t>
  </si>
  <si>
    <t>First Aid Training</t>
  </si>
  <si>
    <t>Environmental Club</t>
  </si>
  <si>
    <t>Total School Expenses</t>
  </si>
  <si>
    <t>Expenses-School</t>
  </si>
  <si>
    <t>Physical Activity Support</t>
  </si>
  <si>
    <t>Curriculum Enhancement</t>
  </si>
  <si>
    <t>GIC &amp; Account interest</t>
  </si>
  <si>
    <t>Sunshine Fund (Staff Retirement)</t>
  </si>
  <si>
    <t xml:space="preserve">MPAC school events </t>
  </si>
  <si>
    <t>Kindergarten Orientation</t>
  </si>
  <si>
    <t>TBD-</t>
  </si>
  <si>
    <t>School Supplies</t>
  </si>
  <si>
    <t>Agendas</t>
  </si>
  <si>
    <t>Literacy Enhancements</t>
  </si>
  <si>
    <t>Recruitment Drive</t>
  </si>
  <si>
    <t>Directory</t>
  </si>
  <si>
    <t>Field trip Support</t>
  </si>
  <si>
    <t xml:space="preserve">Welcome Back </t>
  </si>
  <si>
    <t>Miscellaneous</t>
  </si>
  <si>
    <t>Walk on Wednesday</t>
  </si>
  <si>
    <t>Traffic Safety-Leadership Development</t>
  </si>
  <si>
    <t>Parent Education Series</t>
  </si>
  <si>
    <t>Staff Appreciation-Xmas/Plays</t>
  </si>
  <si>
    <t>Body Science/Enpowerment</t>
  </si>
  <si>
    <t>Kindergarten/New Family Playdate</t>
  </si>
  <si>
    <t>Community/Social Responsibility</t>
  </si>
  <si>
    <t>Student Leadership - Me to We</t>
  </si>
  <si>
    <t>Gardening Club</t>
  </si>
  <si>
    <t>Peer Leaders</t>
  </si>
  <si>
    <t>Budget June 30, 2018</t>
  </si>
  <si>
    <t>0*</t>
  </si>
  <si>
    <t>Hot lunch - session 3</t>
  </si>
  <si>
    <t>Jog-a-thon</t>
  </si>
  <si>
    <t>Welcome Back Ice Cream Social</t>
  </si>
  <si>
    <t>Curling night</t>
  </si>
  <si>
    <t>Yearbook</t>
  </si>
  <si>
    <t>Expected still to come</t>
  </si>
  <si>
    <t>Projected to June 30, 2017</t>
  </si>
  <si>
    <t>Comments Don’t Print</t>
  </si>
  <si>
    <t>Seeds, T-shirts on sport day, Cobs, other</t>
  </si>
  <si>
    <t>This year Ice Cream Social</t>
  </si>
  <si>
    <t>Got some DPAC grant money</t>
  </si>
  <si>
    <t>Jackets?</t>
  </si>
  <si>
    <t>* Added $200 to first aid training budget to accommodate higher than expected costs</t>
  </si>
  <si>
    <t xml:space="preserve">* These line-items are being removed from the budget of the PAC as they will be funded directly by BC govt.  </t>
  </si>
  <si>
    <t>*Frosty DVD for Janet Hill Classroom $25</t>
  </si>
  <si>
    <t>Cost $231 - Revenue $480 - Posters $20.83</t>
  </si>
  <si>
    <t>*See ClassroomEnhancements2018.xls</t>
  </si>
  <si>
    <t>Less Approx</t>
  </si>
  <si>
    <t>Not applicable</t>
  </si>
  <si>
    <t>*$1750 (1837.5 inc 5% GST) for Tennis in April</t>
  </si>
  <si>
    <t>For Montroyal Choir going to Senior citizens (Mrs Hill) - Not happening this year accoriding to Shannon Harris</t>
  </si>
  <si>
    <t>Speak to Scott ??</t>
  </si>
  <si>
    <t>relationships - cancelled by the school</t>
  </si>
  <si>
    <t>Total Food</t>
  </si>
  <si>
    <t>CC 2.9%</t>
  </si>
  <si>
    <t>Flat Fee .30C</t>
  </si>
  <si>
    <t>As at May 7, 2018 - Food Profit projected to June 30 After Approx 794.80 CC Fees</t>
  </si>
  <si>
    <t>Food Profit</t>
  </si>
  <si>
    <t xml:space="preserve"> Jesse Miller Internet Safety Presentation</t>
  </si>
  <si>
    <t>Moved to June 1st Programs</t>
  </si>
  <si>
    <t>Frozen Fruit bars $404. Carol talked about buying T-Shirts</t>
  </si>
  <si>
    <t>Not doing this this year.</t>
  </si>
  <si>
    <t>Edupac $1109 Deposited in May</t>
  </si>
  <si>
    <t>Exec comments</t>
  </si>
  <si>
    <t>This is run by Dianne and Mrs Hill - Kbam do most of it.</t>
  </si>
  <si>
    <r>
      <rPr>
        <b/>
        <sz val="10"/>
        <color theme="6" tint="-0.249977111117893"/>
        <rFont val="Arial"/>
      </rPr>
      <t>Suplus</t>
    </r>
    <r>
      <rPr>
        <b/>
        <sz val="10"/>
        <rFont val="Arial"/>
      </rPr>
      <t>/</t>
    </r>
    <r>
      <rPr>
        <b/>
        <sz val="10"/>
        <color rgb="FFFF0000"/>
        <rFont val="Arial"/>
      </rPr>
      <t>Deficit</t>
    </r>
  </si>
  <si>
    <t>Total Revenues</t>
  </si>
  <si>
    <t>Total MPAC Expenses</t>
  </si>
  <si>
    <t>Actuals to May 14,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</si>
</sst>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#,##0;\(#,##0\);0"/>
    <numFmt numFmtId="168" formatCode="_-* #,##0_-;\-* #,##0_-;_-* &quot;-&quot;??_-;_-@_-"/>
    <numFmt numFmtId="169" formatCode="&quot;$&quot;#,##0.00"/>
  </numFmts>
  <fonts count="23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  <font>
      <b/>
      <sz val="10"/>
      <name val="Arial"/>
    </font>
    <font>
      <b/>
      <sz val="12"/>
      <name val="Arial"/>
    </font>
    <font>
      <b/>
      <sz val="11"/>
      <name val="Arial"/>
    </font>
    <font>
      <sz val="11"/>
      <name val="Arial"/>
    </font>
    <font>
      <sz val="10"/>
      <color theme="1"/>
      <name val="Arial"/>
    </font>
    <font>
      <sz val="11"/>
      <color theme="1"/>
      <name val="Arial"/>
    </font>
    <font>
      <b/>
      <i/>
      <sz val="11"/>
      <name val="Arial"/>
    </font>
    <font>
      <sz val="10"/>
      <color rgb="FF000000"/>
      <name val="Arial"/>
    </font>
    <font>
      <b/>
      <i/>
      <sz val="10"/>
      <name val="Arial"/>
    </font>
    <font>
      <sz val="9"/>
      <color indexed="81"/>
      <name val="Arial"/>
    </font>
    <font>
      <b/>
      <sz val="9"/>
      <color indexed="81"/>
      <name val="Arial"/>
    </font>
    <font>
      <b/>
      <sz val="10"/>
      <color rgb="FFFF0000"/>
      <name val="Arial"/>
    </font>
    <font>
      <b/>
      <sz val="10"/>
      <color theme="6" tint="-0.249977111117893"/>
      <name val="Arial"/>
    </font>
    <font>
      <b/>
      <sz val="10"/>
      <color theme="9" tint="-0.49998474074526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10" fillId="0" borderId="1" xfId="0" applyFont="1" applyBorder="1" applyAlignment="1">
      <alignment horizont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167" fontId="12" fillId="0" borderId="0" xfId="2" applyNumberFormat="1" applyFont="1" applyFill="1" applyBorder="1" applyAlignment="1">
      <alignment horizontal="center"/>
    </xf>
    <xf numFmtId="168" fontId="12" fillId="0" borderId="0" xfId="2" applyNumberFormat="1" applyFont="1" applyFill="1" applyBorder="1" applyAlignment="1">
      <alignment horizontal="center"/>
    </xf>
    <xf numFmtId="168" fontId="14" fillId="0" borderId="0" xfId="2" applyNumberFormat="1" applyFont="1" applyFill="1" applyBorder="1" applyAlignment="1">
      <alignment horizontal="center"/>
    </xf>
    <xf numFmtId="168" fontId="12" fillId="0" borderId="0" xfId="2" applyNumberFormat="1" applyFont="1" applyFill="1" applyBorder="1" applyAlignment="1">
      <alignment horizontal="center" wrapText="1"/>
    </xf>
    <xf numFmtId="168" fontId="15" fillId="0" borderId="3" xfId="2" applyNumberFormat="1" applyFont="1" applyFill="1" applyBorder="1" applyAlignment="1">
      <alignment horizontal="center"/>
    </xf>
    <xf numFmtId="0" fontId="10" fillId="0" borderId="0" xfId="0" applyFont="1" applyFill="1" applyBorder="1"/>
    <xf numFmtId="167" fontId="11" fillId="0" borderId="0" xfId="2" applyNumberFormat="1" applyFont="1" applyFill="1" applyBorder="1" applyAlignment="1">
      <alignment horizontal="center" wrapText="1"/>
    </xf>
    <xf numFmtId="168" fontId="11" fillId="0" borderId="0" xfId="2" applyNumberFormat="1" applyFont="1" applyFill="1" applyBorder="1" applyAlignment="1">
      <alignment horizontal="center" wrapText="1"/>
    </xf>
    <xf numFmtId="0" fontId="13" fillId="0" borderId="0" xfId="0" applyFont="1" applyFill="1"/>
    <xf numFmtId="168" fontId="11" fillId="0" borderId="2" xfId="2" applyNumberFormat="1" applyFont="1" applyFill="1" applyBorder="1" applyAlignment="1">
      <alignment horizontal="center"/>
    </xf>
    <xf numFmtId="168" fontId="0" fillId="0" borderId="0" xfId="2" applyNumberFormat="1" applyFont="1" applyFill="1" applyAlignment="1">
      <alignment horizontal="center"/>
    </xf>
    <xf numFmtId="167" fontId="0" fillId="0" borderId="0" xfId="0" applyNumberFormat="1" applyFont="1" applyFill="1"/>
    <xf numFmtId="0" fontId="11" fillId="0" borderId="0" xfId="0" applyFont="1" applyFill="1" applyAlignment="1"/>
    <xf numFmtId="168" fontId="12" fillId="0" borderId="2" xfId="2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67" fontId="9" fillId="0" borderId="0" xfId="1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0" fontId="9" fillId="0" borderId="0" xfId="0" applyFont="1" applyFill="1" applyAlignment="1"/>
    <xf numFmtId="37" fontId="9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8" fontId="0" fillId="0" borderId="0" xfId="0" applyNumberFormat="1"/>
    <xf numFmtId="169" fontId="0" fillId="0" borderId="0" xfId="0" applyNumberFormat="1" applyFont="1" applyFill="1"/>
    <xf numFmtId="168" fontId="15" fillId="0" borderId="0" xfId="2" applyNumberFormat="1" applyFont="1" applyFill="1" applyBorder="1" applyAlignment="1">
      <alignment horizontal="center"/>
    </xf>
    <xf numFmtId="168" fontId="11" fillId="0" borderId="0" xfId="2" applyNumberFormat="1" applyFont="1" applyFill="1" applyBorder="1" applyAlignment="1">
      <alignment horizontal="center"/>
    </xf>
    <xf numFmtId="0" fontId="0" fillId="2" borderId="0" xfId="0" applyFont="1" applyFill="1"/>
    <xf numFmtId="0" fontId="0" fillId="0" borderId="4" xfId="0" applyFont="1" applyFill="1" applyBorder="1"/>
    <xf numFmtId="167" fontId="12" fillId="0" borderId="4" xfId="2" applyNumberFormat="1" applyFont="1" applyFill="1" applyBorder="1" applyAlignment="1">
      <alignment horizontal="center"/>
    </xf>
    <xf numFmtId="0" fontId="13" fillId="0" borderId="4" xfId="0" applyFont="1" applyFill="1" applyBorder="1"/>
    <xf numFmtId="167" fontId="14" fillId="0" borderId="4" xfId="2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1" fontId="12" fillId="0" borderId="4" xfId="0" applyNumberFormat="1" applyFont="1" applyFill="1" applyBorder="1" applyAlignment="1">
      <alignment horizontal="center" wrapText="1"/>
    </xf>
    <xf numFmtId="0" fontId="15" fillId="0" borderId="4" xfId="0" applyFont="1" applyFill="1" applyBorder="1"/>
    <xf numFmtId="167" fontId="15" fillId="0" borderId="4" xfId="2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167" fontId="12" fillId="0" borderId="4" xfId="2" quotePrefix="1" applyNumberFormat="1" applyFont="1" applyFill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Border="1"/>
    <xf numFmtId="0" fontId="16" fillId="0" borderId="4" xfId="0" applyFont="1" applyBorder="1"/>
    <xf numFmtId="0" fontId="17" fillId="0" borderId="4" xfId="0" applyFont="1" applyFill="1" applyBorder="1" applyAlignment="1">
      <alignment horizontal="left" vertical="center"/>
    </xf>
    <xf numFmtId="167" fontId="11" fillId="0" borderId="4" xfId="2" applyNumberFormat="1" applyFont="1" applyFill="1" applyBorder="1" applyAlignment="1">
      <alignment horizontal="center"/>
    </xf>
    <xf numFmtId="167" fontId="0" fillId="0" borderId="4" xfId="0" applyNumberFormat="1" applyFont="1" applyFill="1" applyBorder="1"/>
    <xf numFmtId="0" fontId="11" fillId="0" borderId="4" xfId="0" applyFont="1" applyFill="1" applyBorder="1" applyAlignment="1"/>
    <xf numFmtId="167" fontId="22" fillId="0" borderId="0" xfId="1" applyNumberFormat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</cellXfs>
  <cellStyles count="65">
    <cellStyle name="Comma" xfId="2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347134</xdr:colOff>
      <xdr:row>1</xdr:row>
      <xdr:rowOff>67738</xdr:rowOff>
    </xdr:from>
    <xdr:to>
      <xdr:col>0</xdr:col>
      <xdr:colOff>1227668</xdr:colOff>
      <xdr:row>3</xdr:row>
      <xdr:rowOff>291054</xdr:rowOff>
    </xdr:to>
    <xdr:pic>
      <xdr:nvPicPr>
        <xdr:cNvPr id="2" name="Picture 1" descr="LogoHeaderSmal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34" y="220138"/>
          <a:ext cx="880534" cy="595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ward/Google%20Drive/Montroyal_PAC_2018/Accounts_Backup/2017-18%20accounts16April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ward/Google%20Drive/Montroyal_PAC_2018/HotLunches/Hot_Lunch_Summary/hot_lunch_summary_2017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ward/Google%20Drive/Montroyal_PAC_2018/ClassroomEnhancements/ClassroomEnhancements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optic"/>
      <sheetName val="Compare Sessions 1 &amp; 2 2018"/>
      <sheetName val="Deposits"/>
      <sheetName val="Sheet1"/>
    </sheetNames>
    <sheetDataSet>
      <sheetData sheetId="0">
        <row r="727">
          <cell r="F727">
            <v>5780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</sheetNames>
    <sheetDataSet>
      <sheetData sheetId="0">
        <row r="58">
          <cell r="G58">
            <v>96</v>
          </cell>
        </row>
        <row r="150">
          <cell r="Q150">
            <v>6404.35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9">
          <cell r="F29">
            <v>130.11000000000001</v>
          </cell>
        </row>
        <row r="30">
          <cell r="F30">
            <v>49.43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A86"/>
  <sheetViews>
    <sheetView tabSelected="1" topLeftCell="A12" zoomScale="150" zoomScaleNormal="150" zoomScalePageLayoutView="150" workbookViewId="0">
      <selection activeCell="L3" sqref="L3"/>
    </sheetView>
  </sheetViews>
  <sheetFormatPr baseColWidth="10" defaultColWidth="8.83203125" defaultRowHeight="12" x14ac:dyDescent="0"/>
  <cols>
    <col min="1" max="1" width="20" style="2" customWidth="1"/>
    <col min="2" max="2" width="32.83203125" style="2" customWidth="1"/>
    <col min="3" max="3" width="14" style="6" customWidth="1"/>
    <col min="4" max="4" width="2.33203125" style="2" customWidth="1"/>
    <col min="5" max="5" width="14" style="6" customWidth="1"/>
    <col min="6" max="6" width="2.33203125" style="2" customWidth="1"/>
    <col min="7" max="7" width="16.33203125" style="6" hidden="1" customWidth="1"/>
    <col min="8" max="8" width="2.5" style="2" hidden="1" customWidth="1"/>
    <col min="9" max="9" width="16.33203125" style="6" hidden="1" customWidth="1"/>
    <col min="10" max="10" width="16.33203125" style="6" customWidth="1"/>
    <col min="11" max="11" width="2.1640625" style="6" customWidth="1"/>
    <col min="12" max="12" width="14.33203125" style="2" customWidth="1"/>
    <col min="13" max="22" width="8.83203125" style="2"/>
    <col min="23" max="23" width="9.6640625" style="2" bestFit="1" customWidth="1"/>
    <col min="24" max="24" width="9.6640625" style="2" customWidth="1"/>
    <col min="25" max="25" width="8.83203125" style="2"/>
    <col min="26" max="26" width="11.33203125" style="2" bestFit="1" customWidth="1"/>
    <col min="27" max="16384" width="8.83203125" style="2"/>
  </cols>
  <sheetData>
    <row r="2" spans="1:27" s="4" customFormat="1" ht="17">
      <c r="B2" s="1" t="s">
        <v>12</v>
      </c>
      <c r="C2" s="2"/>
      <c r="E2" s="3"/>
      <c r="G2" s="3"/>
      <c r="I2" s="3"/>
      <c r="J2" s="3"/>
      <c r="K2" s="3"/>
    </row>
    <row r="3" spans="1:27">
      <c r="B3" s="5"/>
    </row>
    <row r="4" spans="1:27" ht="30">
      <c r="B4" s="7"/>
      <c r="C4" s="8" t="s">
        <v>71</v>
      </c>
      <c r="E4" s="8" t="s">
        <v>111</v>
      </c>
      <c r="G4" s="8" t="s">
        <v>78</v>
      </c>
      <c r="I4" s="8" t="s">
        <v>79</v>
      </c>
      <c r="J4" s="8" t="s">
        <v>106</v>
      </c>
      <c r="K4" s="8"/>
      <c r="L4" s="8" t="s">
        <v>80</v>
      </c>
    </row>
    <row r="5" spans="1:27" ht="13">
      <c r="A5" s="9" t="s">
        <v>1</v>
      </c>
      <c r="C5" s="10"/>
      <c r="E5" s="10"/>
      <c r="G5" s="10"/>
      <c r="I5" s="10"/>
      <c r="J5" s="10"/>
      <c r="K5" s="10"/>
    </row>
    <row r="6" spans="1:27" ht="13">
      <c r="A6" s="42" t="s">
        <v>24</v>
      </c>
      <c r="B6" s="42"/>
      <c r="C6" s="43">
        <v>6000</v>
      </c>
      <c r="D6" s="42"/>
      <c r="E6" s="43">
        <f>SUM([1]Synoptic!$F$727)</f>
        <v>5780</v>
      </c>
      <c r="G6" s="12"/>
      <c r="I6" s="12">
        <f>G6+E6</f>
        <v>5780</v>
      </c>
      <c r="J6" s="12"/>
      <c r="K6" s="12"/>
    </row>
    <row r="7" spans="1:27" ht="13">
      <c r="A7" s="42" t="s">
        <v>17</v>
      </c>
      <c r="B7" s="42" t="s">
        <v>36</v>
      </c>
      <c r="C7" s="43">
        <v>0</v>
      </c>
      <c r="D7" s="42"/>
      <c r="E7" s="43">
        <v>0</v>
      </c>
      <c r="G7" s="12"/>
      <c r="I7" s="12">
        <f t="shared" ref="I7:I22" si="0">G7+E7</f>
        <v>0</v>
      </c>
      <c r="J7" s="12"/>
      <c r="K7" s="12"/>
    </row>
    <row r="8" spans="1:27" ht="13">
      <c r="A8" s="42" t="s">
        <v>21</v>
      </c>
      <c r="B8" s="42" t="s">
        <v>14</v>
      </c>
      <c r="C8" s="43">
        <v>6300</v>
      </c>
      <c r="D8" s="42"/>
      <c r="E8" s="43">
        <f>SUM('[2]raw data'!$Q$150)</f>
        <v>6404.35</v>
      </c>
      <c r="G8" s="12"/>
      <c r="I8" s="12">
        <f t="shared" si="0"/>
        <v>6404.35</v>
      </c>
      <c r="J8" s="12"/>
      <c r="K8" s="12"/>
      <c r="W8" s="2" t="s">
        <v>96</v>
      </c>
      <c r="X8" s="2" t="s">
        <v>100</v>
      </c>
      <c r="Y8" s="2" t="s">
        <v>97</v>
      </c>
      <c r="Z8" s="2" t="s">
        <v>98</v>
      </c>
    </row>
    <row r="9" spans="1:27" ht="13">
      <c r="A9" s="42"/>
      <c r="B9" s="42" t="s">
        <v>15</v>
      </c>
      <c r="C9" s="43">
        <v>6300</v>
      </c>
      <c r="D9" s="42"/>
      <c r="E9" s="43">
        <f>SUM(X9-Y9-Z9)</f>
        <v>6650.219250000001</v>
      </c>
      <c r="G9" s="12"/>
      <c r="I9" s="12">
        <f t="shared" si="0"/>
        <v>6650.219250000001</v>
      </c>
      <c r="J9" s="12"/>
      <c r="K9" s="12"/>
      <c r="L9" s="2" t="s">
        <v>99</v>
      </c>
      <c r="R9" s="38">
        <v>7445.02</v>
      </c>
      <c r="S9" s="2" t="s">
        <v>90</v>
      </c>
      <c r="U9" s="38">
        <f>SUM(7068.75-675)</f>
        <v>6393.75</v>
      </c>
      <c r="W9" s="38">
        <v>23651.75</v>
      </c>
      <c r="X9" s="38">
        <v>7445.02</v>
      </c>
      <c r="Y9" s="38">
        <f>SUM(W9*0.029)</f>
        <v>685.90075000000002</v>
      </c>
      <c r="Z9" s="38">
        <v>108.9</v>
      </c>
      <c r="AA9" s="38"/>
    </row>
    <row r="10" spans="1:27" ht="13">
      <c r="A10" s="42"/>
      <c r="B10" s="42" t="s">
        <v>73</v>
      </c>
      <c r="C10" s="43">
        <v>0</v>
      </c>
      <c r="D10" s="42"/>
      <c r="E10" s="43">
        <v>0</v>
      </c>
      <c r="G10" s="12"/>
      <c r="I10" s="12"/>
      <c r="J10" s="12"/>
      <c r="K10" s="12"/>
      <c r="L10" s="2" t="s">
        <v>91</v>
      </c>
    </row>
    <row r="11" spans="1:27" ht="13">
      <c r="A11" s="42" t="s">
        <v>25</v>
      </c>
      <c r="B11" s="42" t="s">
        <v>53</v>
      </c>
      <c r="C11" s="43">
        <v>900</v>
      </c>
      <c r="D11" s="42"/>
      <c r="E11" s="43">
        <v>1109</v>
      </c>
      <c r="G11" s="12"/>
      <c r="I11" s="12">
        <f t="shared" si="0"/>
        <v>1109</v>
      </c>
      <c r="J11" s="12"/>
      <c r="K11" s="12"/>
      <c r="L11" s="2" t="s">
        <v>105</v>
      </c>
    </row>
    <row r="12" spans="1:27" ht="13">
      <c r="A12" s="42"/>
      <c r="B12" s="42" t="s">
        <v>54</v>
      </c>
      <c r="C12" s="43">
        <v>1200</v>
      </c>
      <c r="D12" s="42"/>
      <c r="E12" s="43">
        <v>1165.25</v>
      </c>
      <c r="G12" s="12"/>
      <c r="I12" s="12">
        <f t="shared" si="0"/>
        <v>1165.25</v>
      </c>
      <c r="J12" s="12"/>
      <c r="K12" s="12"/>
    </row>
    <row r="13" spans="1:27" ht="13">
      <c r="A13" s="42"/>
      <c r="B13" s="44" t="s">
        <v>26</v>
      </c>
      <c r="C13" s="45">
        <v>400</v>
      </c>
      <c r="D13" s="42"/>
      <c r="E13" s="45">
        <f>SUM(200.98+235)</f>
        <v>435.98</v>
      </c>
      <c r="G13" s="13"/>
      <c r="I13" s="12">
        <f t="shared" si="0"/>
        <v>435.98</v>
      </c>
      <c r="J13" s="12"/>
      <c r="K13" s="12"/>
      <c r="L13" s="2" t="s">
        <v>81</v>
      </c>
    </row>
    <row r="14" spans="1:27" ht="13">
      <c r="A14" s="42"/>
      <c r="B14" s="44" t="s">
        <v>74</v>
      </c>
      <c r="C14" s="45">
        <v>7000</v>
      </c>
      <c r="D14" s="42"/>
      <c r="E14" s="45">
        <f>SUM([1]Synoptic!$X$762)</f>
        <v>0</v>
      </c>
      <c r="G14" s="13"/>
      <c r="I14" s="12">
        <f t="shared" si="0"/>
        <v>0</v>
      </c>
      <c r="J14" s="12"/>
      <c r="K14" s="12"/>
    </row>
    <row r="15" spans="1:27" ht="13">
      <c r="A15" s="42"/>
      <c r="B15" s="44" t="s">
        <v>52</v>
      </c>
      <c r="C15" s="45">
        <v>1000</v>
      </c>
      <c r="D15" s="42"/>
      <c r="E15" s="45">
        <v>0</v>
      </c>
      <c r="G15" s="13"/>
      <c r="I15" s="12">
        <f t="shared" si="0"/>
        <v>0</v>
      </c>
      <c r="J15" s="12"/>
      <c r="K15" s="12"/>
    </row>
    <row r="16" spans="1:27" ht="13">
      <c r="A16" s="42" t="s">
        <v>22</v>
      </c>
      <c r="B16" s="42" t="s">
        <v>75</v>
      </c>
      <c r="C16" s="46">
        <v>0</v>
      </c>
      <c r="D16" s="42"/>
      <c r="E16" s="47">
        <v>675</v>
      </c>
      <c r="G16" s="14"/>
      <c r="I16" s="12">
        <f t="shared" si="0"/>
        <v>675</v>
      </c>
      <c r="J16" s="12"/>
      <c r="K16" s="12"/>
      <c r="L16" s="2" t="s">
        <v>82</v>
      </c>
    </row>
    <row r="17" spans="1:16" ht="13">
      <c r="A17" s="42"/>
      <c r="B17" s="42" t="s">
        <v>13</v>
      </c>
      <c r="C17" s="43">
        <v>0</v>
      </c>
      <c r="D17" s="42"/>
      <c r="E17" s="43">
        <v>133</v>
      </c>
      <c r="G17" s="12"/>
      <c r="I17" s="12">
        <f t="shared" si="0"/>
        <v>133</v>
      </c>
      <c r="J17" s="12"/>
      <c r="K17" s="12"/>
    </row>
    <row r="18" spans="1:16" ht="13">
      <c r="A18" s="42"/>
      <c r="B18" s="44" t="s">
        <v>76</v>
      </c>
      <c r="C18" s="43">
        <v>0</v>
      </c>
      <c r="D18" s="42"/>
      <c r="E18" s="43">
        <f>SUM(480-231)</f>
        <v>249</v>
      </c>
      <c r="G18" s="12"/>
      <c r="I18" s="12">
        <f t="shared" si="0"/>
        <v>249</v>
      </c>
      <c r="J18" s="12"/>
      <c r="K18" s="12"/>
      <c r="L18" s="2" t="s">
        <v>88</v>
      </c>
    </row>
    <row r="19" spans="1:16" ht="13">
      <c r="A19" s="42"/>
      <c r="B19" s="42" t="s">
        <v>2</v>
      </c>
      <c r="C19" s="43">
        <v>1100</v>
      </c>
      <c r="D19" s="42"/>
      <c r="E19" s="43">
        <v>1439.2</v>
      </c>
      <c r="G19" s="12"/>
      <c r="I19" s="12">
        <f t="shared" si="0"/>
        <v>1439.2</v>
      </c>
      <c r="J19" s="12"/>
      <c r="K19" s="12"/>
    </row>
    <row r="20" spans="1:16" ht="13">
      <c r="A20" s="42"/>
      <c r="B20" s="42" t="s">
        <v>77</v>
      </c>
      <c r="C20" s="43">
        <v>0</v>
      </c>
      <c r="D20" s="42"/>
      <c r="E20" s="43">
        <v>0</v>
      </c>
      <c r="G20" s="12"/>
      <c r="I20" s="12">
        <f t="shared" si="0"/>
        <v>0</v>
      </c>
      <c r="J20" s="12"/>
      <c r="K20" s="12"/>
    </row>
    <row r="21" spans="1:16" ht="13">
      <c r="A21" s="42"/>
      <c r="B21" s="42" t="s">
        <v>3</v>
      </c>
      <c r="C21" s="43">
        <v>500</v>
      </c>
      <c r="D21" s="42"/>
      <c r="E21" s="43">
        <v>430</v>
      </c>
      <c r="G21" s="12"/>
      <c r="I21" s="12">
        <f t="shared" si="0"/>
        <v>430</v>
      </c>
      <c r="J21" s="12"/>
      <c r="K21" s="12"/>
      <c r="L21" s="37">
        <f>SUM(4690-4260)</f>
        <v>430</v>
      </c>
    </row>
    <row r="22" spans="1:16" ht="14" thickBot="1">
      <c r="A22" s="42" t="s">
        <v>23</v>
      </c>
      <c r="B22" s="42" t="s">
        <v>48</v>
      </c>
      <c r="C22" s="43">
        <v>200</v>
      </c>
      <c r="D22" s="42"/>
      <c r="E22" s="43">
        <v>2</v>
      </c>
      <c r="G22" s="12"/>
      <c r="I22" s="12">
        <f t="shared" si="0"/>
        <v>2</v>
      </c>
      <c r="J22" s="12"/>
      <c r="K22" s="12"/>
    </row>
    <row r="23" spans="1:16" ht="15" thickTop="1" thickBot="1">
      <c r="A23" s="42"/>
      <c r="B23" s="48" t="s">
        <v>109</v>
      </c>
      <c r="C23" s="49">
        <f>SUM(C6:C22)</f>
        <v>30900</v>
      </c>
      <c r="D23" s="42"/>
      <c r="E23" s="49">
        <f>SUM(E6:E22)</f>
        <v>24472.999250000001</v>
      </c>
      <c r="G23" s="15">
        <f>SUM(G6:G22)</f>
        <v>0</v>
      </c>
      <c r="I23" s="15">
        <f>SUM(I6:I22)</f>
        <v>24472.999250000001</v>
      </c>
      <c r="J23" s="39"/>
      <c r="K23" s="39"/>
    </row>
    <row r="24" spans="1:16" ht="14" thickTop="1">
      <c r="B24" s="7"/>
      <c r="C24" s="11"/>
      <c r="E24" s="11"/>
      <c r="G24" s="12"/>
      <c r="I24" s="12"/>
      <c r="J24" s="12"/>
      <c r="K24" s="12"/>
    </row>
    <row r="25" spans="1:16" ht="15">
      <c r="A25" s="16" t="s">
        <v>45</v>
      </c>
      <c r="C25" s="17"/>
      <c r="E25" s="17"/>
      <c r="G25" s="18"/>
      <c r="I25" s="18"/>
      <c r="J25" s="18"/>
      <c r="K25" s="18"/>
    </row>
    <row r="26" spans="1:16" ht="13">
      <c r="A26" s="42" t="s">
        <v>33</v>
      </c>
      <c r="B26" s="42" t="s">
        <v>37</v>
      </c>
      <c r="C26" s="43">
        <v>5600</v>
      </c>
      <c r="D26" s="42"/>
      <c r="E26" s="43">
        <v>2356</v>
      </c>
      <c r="G26" s="12"/>
      <c r="I26" s="12">
        <f>G26+E26</f>
        <v>2356</v>
      </c>
      <c r="J26" s="12"/>
      <c r="K26" s="12"/>
      <c r="L26" s="2" t="s">
        <v>89</v>
      </c>
      <c r="O26" s="11"/>
    </row>
    <row r="27" spans="1:16" ht="13">
      <c r="A27" s="42"/>
      <c r="B27" s="42" t="s">
        <v>38</v>
      </c>
      <c r="C27" s="43">
        <v>2000</v>
      </c>
      <c r="D27" s="42"/>
      <c r="E27" s="43">
        <v>1266</v>
      </c>
      <c r="G27" s="12"/>
      <c r="I27" s="12">
        <f t="shared" ref="I27:I47" si="1">G27+E27</f>
        <v>1266</v>
      </c>
      <c r="J27" s="12"/>
      <c r="K27" s="12"/>
    </row>
    <row r="28" spans="1:16" ht="13">
      <c r="A28" s="42"/>
      <c r="B28" s="42" t="s">
        <v>39</v>
      </c>
      <c r="C28" s="43">
        <v>2000</v>
      </c>
      <c r="D28" s="42"/>
      <c r="E28" s="43">
        <f>SUM(25+1096)</f>
        <v>1121</v>
      </c>
      <c r="G28" s="12"/>
      <c r="I28" s="12">
        <f t="shared" si="1"/>
        <v>1121</v>
      </c>
      <c r="J28" s="12"/>
      <c r="K28" s="12"/>
      <c r="L28" s="2" t="s">
        <v>87</v>
      </c>
    </row>
    <row r="29" spans="1:16" ht="13">
      <c r="A29" s="42"/>
      <c r="B29" s="50" t="s">
        <v>55</v>
      </c>
      <c r="C29" s="51" t="s">
        <v>72</v>
      </c>
      <c r="D29" s="42"/>
      <c r="E29" s="51" t="s">
        <v>72</v>
      </c>
      <c r="G29" s="12"/>
      <c r="I29" s="12" t="e">
        <f t="shared" si="1"/>
        <v>#VALUE!</v>
      </c>
      <c r="J29" s="12"/>
      <c r="K29" s="12"/>
    </row>
    <row r="30" spans="1:16" ht="13">
      <c r="A30" s="42"/>
      <c r="B30" s="44" t="s">
        <v>40</v>
      </c>
      <c r="C30" s="45">
        <v>1500</v>
      </c>
      <c r="D30" s="42"/>
      <c r="E30" s="43">
        <v>0</v>
      </c>
      <c r="G30" s="13"/>
      <c r="I30" s="12">
        <f t="shared" si="1"/>
        <v>0</v>
      </c>
      <c r="J30" s="12"/>
      <c r="K30" s="12"/>
      <c r="L30" s="41" t="s">
        <v>94</v>
      </c>
    </row>
    <row r="31" spans="1:16" ht="13">
      <c r="A31" s="42"/>
      <c r="B31" s="50" t="s">
        <v>47</v>
      </c>
      <c r="C31" s="51" t="s">
        <v>72</v>
      </c>
      <c r="D31" s="42"/>
      <c r="E31" s="51" t="s">
        <v>72</v>
      </c>
      <c r="G31" s="12"/>
      <c r="I31" s="12" t="e">
        <f t="shared" si="1"/>
        <v>#VALUE!</v>
      </c>
      <c r="J31" s="12"/>
      <c r="K31" s="12"/>
    </row>
    <row r="32" spans="1:16" ht="13">
      <c r="A32" s="42" t="s">
        <v>19</v>
      </c>
      <c r="B32" s="42" t="s">
        <v>41</v>
      </c>
      <c r="C32" s="43">
        <v>3900</v>
      </c>
      <c r="D32" s="42"/>
      <c r="E32" s="52">
        <v>1838</v>
      </c>
      <c r="G32" s="12"/>
      <c r="I32" s="12">
        <f t="shared" si="1"/>
        <v>1838</v>
      </c>
      <c r="J32" s="12"/>
      <c r="K32" s="12"/>
      <c r="L32" s="2" t="s">
        <v>92</v>
      </c>
      <c r="P32" s="22">
        <f>SUM(C32-E32)</f>
        <v>2062</v>
      </c>
    </row>
    <row r="33" spans="1:16" ht="13">
      <c r="A33" s="42"/>
      <c r="B33" s="53" t="s">
        <v>65</v>
      </c>
      <c r="C33" s="43">
        <v>2000</v>
      </c>
      <c r="D33" s="42"/>
      <c r="E33" s="43">
        <v>367.5</v>
      </c>
      <c r="G33" s="12"/>
      <c r="I33" s="12">
        <f t="shared" si="1"/>
        <v>367.5</v>
      </c>
      <c r="J33" s="12"/>
      <c r="K33" s="12"/>
      <c r="L33" s="2" t="s">
        <v>101</v>
      </c>
      <c r="P33" s="2" t="s">
        <v>95</v>
      </c>
    </row>
    <row r="34" spans="1:16" ht="13">
      <c r="A34" s="42"/>
      <c r="B34" s="42" t="s">
        <v>20</v>
      </c>
      <c r="C34" s="43">
        <v>2750</v>
      </c>
      <c r="D34" s="42"/>
      <c r="E34" s="43">
        <f>+SUM(448.39+859.95+949)</f>
        <v>2257.34</v>
      </c>
      <c r="G34" s="12"/>
      <c r="I34" s="12">
        <f t="shared" si="1"/>
        <v>2257.34</v>
      </c>
      <c r="J34" s="12"/>
      <c r="K34" s="12"/>
      <c r="L34" s="2" t="s">
        <v>107</v>
      </c>
    </row>
    <row r="35" spans="1:16" ht="13">
      <c r="A35" s="42"/>
      <c r="B35" s="50" t="s">
        <v>67</v>
      </c>
      <c r="C35" s="43">
        <v>800</v>
      </c>
      <c r="D35" s="42"/>
      <c r="E35" s="43">
        <v>0</v>
      </c>
      <c r="G35" s="12"/>
      <c r="I35" s="12">
        <f t="shared" si="1"/>
        <v>0</v>
      </c>
      <c r="J35" s="12"/>
      <c r="K35" s="12"/>
      <c r="L35" s="2" t="s">
        <v>93</v>
      </c>
    </row>
    <row r="36" spans="1:16" ht="13">
      <c r="A36" s="42"/>
      <c r="B36" s="50" t="s">
        <v>27</v>
      </c>
      <c r="C36" s="43">
        <v>400</v>
      </c>
      <c r="D36" s="42"/>
      <c r="E36" s="43">
        <v>0</v>
      </c>
      <c r="G36" s="12"/>
      <c r="I36" s="12">
        <f t="shared" si="1"/>
        <v>0</v>
      </c>
      <c r="J36" s="12"/>
      <c r="K36" s="12"/>
    </row>
    <row r="37" spans="1:16" s="19" customFormat="1" ht="13">
      <c r="A37" s="42" t="s">
        <v>34</v>
      </c>
      <c r="B37" s="42" t="s">
        <v>11</v>
      </c>
      <c r="C37" s="43">
        <v>500</v>
      </c>
      <c r="D37" s="44"/>
      <c r="E37" s="43">
        <v>480</v>
      </c>
      <c r="F37" s="2"/>
      <c r="G37" s="12"/>
      <c r="H37" s="2"/>
      <c r="I37" s="12">
        <f t="shared" si="1"/>
        <v>480</v>
      </c>
      <c r="J37" s="12"/>
      <c r="K37" s="12"/>
      <c r="L37" s="2" t="s">
        <v>83</v>
      </c>
      <c r="O37" s="11"/>
    </row>
    <row r="38" spans="1:16" ht="13">
      <c r="A38" s="42"/>
      <c r="B38" s="44" t="s">
        <v>42</v>
      </c>
      <c r="C38" s="45">
        <v>800</v>
      </c>
      <c r="D38" s="42"/>
      <c r="E38" s="45">
        <v>0</v>
      </c>
      <c r="G38" s="13"/>
      <c r="I38" s="12">
        <f t="shared" si="1"/>
        <v>0</v>
      </c>
      <c r="J38" s="12"/>
      <c r="K38" s="12"/>
    </row>
    <row r="39" spans="1:16" s="19" customFormat="1" ht="13">
      <c r="A39" s="42"/>
      <c r="B39" s="44" t="s">
        <v>58</v>
      </c>
      <c r="C39" s="45">
        <v>0</v>
      </c>
      <c r="D39" s="44"/>
      <c r="E39" s="45">
        <v>0</v>
      </c>
      <c r="F39" s="2"/>
      <c r="G39" s="13"/>
      <c r="H39" s="2"/>
      <c r="I39" s="12">
        <f t="shared" si="1"/>
        <v>0</v>
      </c>
      <c r="J39" s="12"/>
      <c r="K39" s="12"/>
      <c r="L39" s="2"/>
    </row>
    <row r="40" spans="1:16" ht="13">
      <c r="A40" s="44"/>
      <c r="B40" s="44" t="s">
        <v>0</v>
      </c>
      <c r="C40" s="45">
        <v>400</v>
      </c>
      <c r="D40" s="42"/>
      <c r="E40" s="45">
        <v>404</v>
      </c>
      <c r="F40" s="19"/>
      <c r="G40" s="13"/>
      <c r="H40" s="19"/>
      <c r="I40" s="12">
        <f t="shared" si="1"/>
        <v>404</v>
      </c>
      <c r="J40" s="12"/>
      <c r="K40" s="12"/>
      <c r="L40" s="19" t="s">
        <v>103</v>
      </c>
    </row>
    <row r="41" spans="1:16" s="19" customFormat="1" ht="13">
      <c r="A41" s="42"/>
      <c r="B41" s="44" t="s">
        <v>70</v>
      </c>
      <c r="C41" s="45">
        <v>100</v>
      </c>
      <c r="D41" s="44"/>
      <c r="E41" s="45">
        <v>0</v>
      </c>
      <c r="F41" s="2"/>
      <c r="G41" s="13"/>
      <c r="H41" s="2"/>
      <c r="I41" s="12">
        <f t="shared" si="1"/>
        <v>0</v>
      </c>
      <c r="J41" s="12"/>
      <c r="K41" s="12"/>
      <c r="L41" s="2" t="s">
        <v>84</v>
      </c>
    </row>
    <row r="42" spans="1:16" ht="13">
      <c r="A42" s="44"/>
      <c r="B42" s="42" t="s">
        <v>62</v>
      </c>
      <c r="C42" s="43">
        <v>0</v>
      </c>
      <c r="D42" s="42"/>
      <c r="E42" s="43">
        <v>0</v>
      </c>
      <c r="F42" s="19"/>
      <c r="G42" s="12"/>
      <c r="H42" s="19"/>
      <c r="I42" s="12">
        <f t="shared" si="1"/>
        <v>0</v>
      </c>
      <c r="J42" s="12"/>
      <c r="K42" s="12"/>
      <c r="L42" s="19"/>
    </row>
    <row r="43" spans="1:16" ht="13">
      <c r="A43" s="42"/>
      <c r="B43" s="42" t="s">
        <v>43</v>
      </c>
      <c r="C43" s="43">
        <v>250</v>
      </c>
      <c r="D43" s="42"/>
      <c r="E43" s="43">
        <f>SUM([3]Sheet1!$F$29)</f>
        <v>130.11000000000001</v>
      </c>
      <c r="G43" s="12"/>
      <c r="I43" s="12">
        <f t="shared" si="1"/>
        <v>130.11000000000001</v>
      </c>
      <c r="J43" s="12"/>
      <c r="K43" s="12"/>
    </row>
    <row r="44" spans="1:16" ht="13">
      <c r="A44" s="54"/>
      <c r="B44" s="55" t="s">
        <v>69</v>
      </c>
      <c r="C44" s="52">
        <v>200</v>
      </c>
      <c r="D44" s="54"/>
      <c r="E44" s="52">
        <f>SUM([3]Sheet1!$F$30)</f>
        <v>49.43</v>
      </c>
      <c r="F44" s="4"/>
      <c r="G44" s="4"/>
      <c r="H44" s="4"/>
      <c r="I44" s="4"/>
      <c r="J44" s="4"/>
      <c r="K44" s="4"/>
      <c r="L44" s="4"/>
    </row>
    <row r="45" spans="1:16" ht="13">
      <c r="A45" s="44"/>
      <c r="B45" s="42" t="s">
        <v>68</v>
      </c>
      <c r="C45" s="43">
        <v>250</v>
      </c>
      <c r="D45" s="42"/>
      <c r="E45" s="43">
        <v>0</v>
      </c>
      <c r="F45" s="19"/>
      <c r="G45" s="12"/>
      <c r="H45" s="19"/>
      <c r="I45" s="12">
        <f t="shared" si="1"/>
        <v>0</v>
      </c>
      <c r="J45" s="12"/>
      <c r="K45" s="12"/>
      <c r="L45" s="19" t="s">
        <v>104</v>
      </c>
    </row>
    <row r="46" spans="1:16" ht="13">
      <c r="A46" s="44" t="s">
        <v>28</v>
      </c>
      <c r="B46" s="44" t="s">
        <v>29</v>
      </c>
      <c r="C46" s="45">
        <f>2250</f>
        <v>2250</v>
      </c>
      <c r="D46" s="42"/>
      <c r="E46" s="45">
        <f>C46*4/12</f>
        <v>750</v>
      </c>
      <c r="G46" s="13"/>
      <c r="I46" s="12">
        <f t="shared" si="1"/>
        <v>750</v>
      </c>
      <c r="J46" s="12"/>
      <c r="K46" s="12"/>
      <c r="L46" s="41" t="s">
        <v>94</v>
      </c>
    </row>
    <row r="47" spans="1:16" ht="13">
      <c r="A47" s="42"/>
      <c r="B47" s="44" t="s">
        <v>30</v>
      </c>
      <c r="C47" s="45">
        <v>2250</v>
      </c>
      <c r="D47" s="42"/>
      <c r="E47" s="45">
        <f>C47*4/12</f>
        <v>750</v>
      </c>
      <c r="G47" s="13"/>
      <c r="I47" s="12">
        <f t="shared" si="1"/>
        <v>750</v>
      </c>
      <c r="J47" s="12"/>
      <c r="K47" s="12"/>
      <c r="L47" s="41" t="s">
        <v>94</v>
      </c>
    </row>
    <row r="48" spans="1:16" ht="13">
      <c r="A48" s="42"/>
      <c r="B48" s="56" t="s">
        <v>44</v>
      </c>
      <c r="C48" s="57">
        <f>SUM(C26:C47)</f>
        <v>27950</v>
      </c>
      <c r="D48" s="42"/>
      <c r="E48" s="57">
        <f>SUM(E26:E47)</f>
        <v>11769.380000000001</v>
      </c>
      <c r="G48" s="20">
        <f>SUM(G26:G47)</f>
        <v>0</v>
      </c>
      <c r="I48" s="20" t="e">
        <f>SUM(I26:I47)</f>
        <v>#VALUE!</v>
      </c>
      <c r="J48" s="40"/>
      <c r="K48" s="40"/>
    </row>
    <row r="49" spans="1:12">
      <c r="G49" s="21"/>
      <c r="I49" s="21"/>
      <c r="J49" s="21"/>
      <c r="K49" s="21"/>
    </row>
    <row r="50" spans="1:12" ht="15">
      <c r="A50" s="16" t="s">
        <v>4</v>
      </c>
      <c r="C50" s="11"/>
      <c r="E50" s="11"/>
      <c r="G50" s="12"/>
      <c r="I50" s="12"/>
      <c r="J50" s="12"/>
      <c r="K50" s="12"/>
    </row>
    <row r="51" spans="1:12" ht="13">
      <c r="A51" s="42" t="s">
        <v>31</v>
      </c>
      <c r="B51" s="42" t="s">
        <v>18</v>
      </c>
      <c r="C51" s="43">
        <v>100</v>
      </c>
      <c r="D51" s="42"/>
      <c r="E51" s="43">
        <v>0</v>
      </c>
      <c r="G51" s="12"/>
      <c r="I51" s="12">
        <f t="shared" ref="I51:I69" si="2">G51+E51</f>
        <v>0</v>
      </c>
      <c r="J51" s="12"/>
      <c r="K51" s="12"/>
    </row>
    <row r="52" spans="1:12" ht="13">
      <c r="A52" s="42"/>
      <c r="B52" s="44" t="s">
        <v>8</v>
      </c>
      <c r="C52" s="45">
        <v>150</v>
      </c>
      <c r="D52" s="42"/>
      <c r="E52" s="45">
        <v>125.76</v>
      </c>
      <c r="G52" s="13"/>
      <c r="I52" s="12">
        <f t="shared" si="2"/>
        <v>125.76</v>
      </c>
      <c r="J52" s="12"/>
      <c r="K52" s="12"/>
    </row>
    <row r="53" spans="1:12" ht="13">
      <c r="A53" s="42"/>
      <c r="B53" s="44" t="s">
        <v>5</v>
      </c>
      <c r="C53" s="45">
        <v>200</v>
      </c>
      <c r="D53" s="42"/>
      <c r="E53" s="45">
        <f>SUM(70.85)+(110.88)</f>
        <v>181.73</v>
      </c>
      <c r="G53" s="13"/>
      <c r="I53" s="12">
        <f t="shared" si="2"/>
        <v>181.73</v>
      </c>
      <c r="J53" s="12"/>
      <c r="K53" s="12"/>
    </row>
    <row r="54" spans="1:12" ht="13">
      <c r="A54" s="42"/>
      <c r="B54" s="42" t="s">
        <v>7</v>
      </c>
      <c r="C54" s="43">
        <v>250</v>
      </c>
      <c r="D54" s="58"/>
      <c r="E54" s="43">
        <v>263</v>
      </c>
      <c r="G54" s="12"/>
      <c r="I54" s="12">
        <f t="shared" si="2"/>
        <v>263</v>
      </c>
      <c r="J54" s="12"/>
      <c r="K54" s="12"/>
      <c r="L54" s="11"/>
    </row>
    <row r="55" spans="1:12" ht="13">
      <c r="A55" s="42" t="s">
        <v>32</v>
      </c>
      <c r="B55" s="44" t="s">
        <v>57</v>
      </c>
      <c r="C55" s="45">
        <v>0</v>
      </c>
      <c r="D55" s="42"/>
      <c r="E55" s="45">
        <v>0</v>
      </c>
      <c r="G55" s="13"/>
      <c r="I55" s="12">
        <f t="shared" si="2"/>
        <v>0</v>
      </c>
      <c r="J55" s="12"/>
      <c r="K55" s="12"/>
    </row>
    <row r="56" spans="1:12" ht="13">
      <c r="A56" s="42"/>
      <c r="B56" s="42" t="s">
        <v>6</v>
      </c>
      <c r="C56" s="43">
        <v>100</v>
      </c>
      <c r="D56" s="42"/>
      <c r="E56" s="43">
        <v>89</v>
      </c>
      <c r="G56" s="12"/>
      <c r="I56" s="12">
        <f t="shared" si="2"/>
        <v>89</v>
      </c>
      <c r="J56" s="12"/>
      <c r="K56" s="12"/>
    </row>
    <row r="57" spans="1:12" ht="13">
      <c r="A57" s="42" t="s">
        <v>50</v>
      </c>
      <c r="B57" s="44" t="s">
        <v>66</v>
      </c>
      <c r="C57" s="43">
        <v>50</v>
      </c>
      <c r="D57" s="42"/>
      <c r="E57" s="43">
        <v>0</v>
      </c>
      <c r="G57" s="12"/>
      <c r="I57" s="12">
        <f t="shared" si="2"/>
        <v>0</v>
      </c>
      <c r="J57" s="12"/>
      <c r="K57" s="12"/>
    </row>
    <row r="58" spans="1:12" ht="13">
      <c r="A58" s="42"/>
      <c r="B58" s="42" t="s">
        <v>51</v>
      </c>
      <c r="C58" s="43">
        <v>50</v>
      </c>
      <c r="D58" s="58"/>
      <c r="E58" s="43">
        <v>0</v>
      </c>
      <c r="G58" s="12"/>
      <c r="I58" s="12">
        <f t="shared" si="2"/>
        <v>0</v>
      </c>
      <c r="J58" s="12"/>
      <c r="K58" s="12"/>
    </row>
    <row r="59" spans="1:12" ht="13">
      <c r="A59" s="42"/>
      <c r="B59" s="42" t="s">
        <v>59</v>
      </c>
      <c r="C59" s="43">
        <v>100</v>
      </c>
      <c r="D59" s="58"/>
      <c r="E59" s="43">
        <v>0</v>
      </c>
      <c r="G59" s="12"/>
      <c r="I59" s="12">
        <f t="shared" si="2"/>
        <v>0</v>
      </c>
      <c r="J59" s="12"/>
      <c r="K59" s="12"/>
    </row>
    <row r="60" spans="1:12" ht="13">
      <c r="A60" s="42"/>
      <c r="B60" s="42" t="s">
        <v>0</v>
      </c>
      <c r="C60" s="43">
        <v>200</v>
      </c>
      <c r="D60" s="58"/>
      <c r="E60" s="43">
        <v>0</v>
      </c>
      <c r="G60" s="12"/>
      <c r="I60" s="12">
        <f t="shared" si="2"/>
        <v>0</v>
      </c>
      <c r="J60" s="12"/>
      <c r="K60" s="12"/>
    </row>
    <row r="61" spans="1:12" s="19" customFormat="1" ht="13">
      <c r="A61" s="42"/>
      <c r="B61" s="42" t="s">
        <v>56</v>
      </c>
      <c r="C61" s="43">
        <v>100</v>
      </c>
      <c r="D61" s="44"/>
      <c r="E61" s="43">
        <v>0</v>
      </c>
      <c r="F61" s="2"/>
      <c r="G61" s="12"/>
      <c r="H61" s="2"/>
      <c r="I61" s="12">
        <f t="shared" si="2"/>
        <v>0</v>
      </c>
      <c r="J61" s="12"/>
      <c r="K61" s="12"/>
      <c r="L61" s="2"/>
    </row>
    <row r="62" spans="1:12" ht="13">
      <c r="A62" s="42"/>
      <c r="B62" s="42" t="s">
        <v>60</v>
      </c>
      <c r="C62" s="43">
        <v>100</v>
      </c>
      <c r="D62" s="42"/>
      <c r="E62" s="43">
        <v>0</v>
      </c>
      <c r="G62" s="12"/>
      <c r="I62" s="12">
        <f t="shared" si="2"/>
        <v>0</v>
      </c>
      <c r="J62" s="12"/>
      <c r="K62" s="12"/>
    </row>
    <row r="63" spans="1:12" ht="13">
      <c r="A63" s="42"/>
      <c r="B63" s="42" t="s">
        <v>63</v>
      </c>
      <c r="C63" s="43">
        <v>100</v>
      </c>
      <c r="D63" s="42"/>
      <c r="E63" s="43">
        <v>15</v>
      </c>
      <c r="G63" s="12"/>
      <c r="I63" s="12">
        <f t="shared" si="2"/>
        <v>15</v>
      </c>
      <c r="J63" s="12"/>
      <c r="K63" s="12"/>
    </row>
    <row r="64" spans="1:12" ht="13">
      <c r="A64" s="44" t="s">
        <v>35</v>
      </c>
      <c r="B64" s="44" t="s">
        <v>10</v>
      </c>
      <c r="C64" s="45">
        <v>450</v>
      </c>
      <c r="D64" s="42"/>
      <c r="E64" s="45">
        <v>404.25</v>
      </c>
      <c r="F64" s="19"/>
      <c r="G64" s="13"/>
      <c r="H64" s="19"/>
      <c r="I64" s="12">
        <f t="shared" si="2"/>
        <v>404.25</v>
      </c>
      <c r="J64" s="12"/>
      <c r="K64" s="12"/>
      <c r="L64" s="19"/>
    </row>
    <row r="65" spans="1:12" ht="13">
      <c r="A65" s="42"/>
      <c r="B65" s="42" t="s">
        <v>49</v>
      </c>
      <c r="C65" s="43">
        <v>400</v>
      </c>
      <c r="D65" s="42"/>
      <c r="E65" s="43">
        <v>0</v>
      </c>
      <c r="G65" s="12"/>
      <c r="I65" s="12">
        <f t="shared" si="2"/>
        <v>0</v>
      </c>
      <c r="J65" s="12"/>
      <c r="K65" s="12"/>
    </row>
    <row r="66" spans="1:12" ht="13">
      <c r="A66" s="42"/>
      <c r="B66" s="42" t="s">
        <v>64</v>
      </c>
      <c r="C66" s="43">
        <v>300</v>
      </c>
      <c r="D66" s="42"/>
      <c r="E66" s="43">
        <v>0</v>
      </c>
      <c r="G66" s="12"/>
      <c r="I66" s="12">
        <f t="shared" si="2"/>
        <v>0</v>
      </c>
      <c r="J66" s="12"/>
      <c r="K66" s="12"/>
    </row>
    <row r="67" spans="1:12" ht="13">
      <c r="A67" s="42"/>
      <c r="B67" s="42" t="s">
        <v>9</v>
      </c>
      <c r="C67" s="43">
        <v>300</v>
      </c>
      <c r="D67" s="42"/>
      <c r="E67" s="43">
        <v>0</v>
      </c>
      <c r="G67" s="12"/>
      <c r="I67" s="12">
        <f t="shared" si="2"/>
        <v>0</v>
      </c>
      <c r="J67" s="12"/>
      <c r="K67" s="12"/>
    </row>
    <row r="68" spans="1:12" ht="13">
      <c r="A68" s="42" t="s">
        <v>46</v>
      </c>
      <c r="B68" s="42" t="s">
        <v>61</v>
      </c>
      <c r="C68" s="43">
        <v>100</v>
      </c>
      <c r="D68" s="42"/>
      <c r="E68" s="43">
        <v>100</v>
      </c>
      <c r="G68" s="12"/>
      <c r="I68" s="12">
        <f t="shared" si="2"/>
        <v>100</v>
      </c>
      <c r="J68" s="12"/>
      <c r="K68" s="12"/>
      <c r="L68" s="2" t="s">
        <v>102</v>
      </c>
    </row>
    <row r="69" spans="1:12" ht="13">
      <c r="A69" s="42"/>
      <c r="B69" s="42" t="s">
        <v>16</v>
      </c>
      <c r="C69" s="43">
        <v>100</v>
      </c>
      <c r="D69" s="42"/>
      <c r="E69" s="43">
        <v>100</v>
      </c>
      <c r="G69" s="12"/>
      <c r="I69" s="12">
        <f t="shared" si="2"/>
        <v>100</v>
      </c>
      <c r="J69" s="12"/>
      <c r="K69" s="12"/>
      <c r="L69" s="2" t="s">
        <v>102</v>
      </c>
    </row>
    <row r="70" spans="1:12" s="23" customFormat="1" ht="13">
      <c r="A70" s="42"/>
      <c r="B70" s="56" t="s">
        <v>110</v>
      </c>
      <c r="C70" s="57">
        <f>SUM(C51:C69)</f>
        <v>3150</v>
      </c>
      <c r="D70" s="59"/>
      <c r="E70" s="57">
        <f>SUM(E51:E69)</f>
        <v>1278.74</v>
      </c>
      <c r="F70" s="2"/>
      <c r="G70" s="24">
        <f>SUM(G51:G69)</f>
        <v>0</v>
      </c>
      <c r="H70" s="2"/>
      <c r="I70" s="24">
        <f>SUM(I51:I69)</f>
        <v>1278.74</v>
      </c>
      <c r="J70" s="12"/>
      <c r="K70" s="12"/>
      <c r="L70" s="2"/>
    </row>
    <row r="71" spans="1:12" s="23" customFormat="1" ht="13">
      <c r="A71" s="2"/>
      <c r="B71" s="7"/>
      <c r="C71" s="11"/>
      <c r="E71" s="11"/>
      <c r="F71" s="2"/>
      <c r="G71" s="12"/>
      <c r="H71" s="2"/>
      <c r="I71" s="12"/>
      <c r="J71" s="12"/>
      <c r="K71" s="12"/>
      <c r="L71" s="2"/>
    </row>
    <row r="72" spans="1:12" s="23" customFormat="1" ht="13">
      <c r="B72" s="25" t="s">
        <v>108</v>
      </c>
      <c r="C72" s="60">
        <f>C23-C48-C70</f>
        <v>-200</v>
      </c>
      <c r="E72" s="61">
        <f>E23-E48-E70</f>
        <v>11424.87925</v>
      </c>
      <c r="G72" s="26"/>
      <c r="I72" s="26" t="e">
        <f>I23-I48-I70</f>
        <v>#VALUE!</v>
      </c>
      <c r="J72" s="26"/>
      <c r="K72" s="26"/>
    </row>
    <row r="73" spans="1:12" s="23" customFormat="1" ht="13">
      <c r="B73" s="25"/>
      <c r="C73" s="27"/>
      <c r="E73" s="27"/>
      <c r="G73" s="28"/>
      <c r="I73" s="28"/>
      <c r="J73" s="28"/>
      <c r="K73" s="28"/>
    </row>
    <row r="74" spans="1:12" ht="13">
      <c r="A74" s="23"/>
      <c r="B74" s="29"/>
      <c r="C74" s="30"/>
      <c r="E74" s="30"/>
      <c r="F74" s="23"/>
      <c r="G74" s="30"/>
      <c r="H74" s="23"/>
      <c r="I74" s="30"/>
      <c r="J74" s="30"/>
      <c r="K74" s="30"/>
      <c r="L74" s="23"/>
    </row>
    <row r="75" spans="1:12">
      <c r="A75" s="7" t="s">
        <v>86</v>
      </c>
      <c r="B75" s="31"/>
      <c r="C75" s="32"/>
      <c r="E75" s="32"/>
      <c r="F75" s="33"/>
      <c r="G75" s="32"/>
      <c r="H75" s="33"/>
      <c r="I75" s="32"/>
      <c r="J75" s="32"/>
      <c r="K75" s="32"/>
      <c r="L75" s="33"/>
    </row>
    <row r="76" spans="1:12" ht="13">
      <c r="A76" s="7" t="s">
        <v>85</v>
      </c>
      <c r="B76" s="29"/>
      <c r="C76" s="34"/>
      <c r="E76" s="34"/>
      <c r="F76" s="23"/>
      <c r="G76" s="34"/>
      <c r="H76" s="23"/>
      <c r="I76" s="34"/>
      <c r="J76" s="34"/>
      <c r="K76" s="34"/>
      <c r="L76" s="23"/>
    </row>
    <row r="77" spans="1:12">
      <c r="C77" s="35"/>
      <c r="E77" s="35"/>
      <c r="G77" s="35"/>
      <c r="I77" s="35"/>
      <c r="J77" s="35"/>
      <c r="K77" s="35"/>
    </row>
    <row r="78" spans="1:12">
      <c r="C78" s="35"/>
      <c r="E78" s="35"/>
      <c r="G78" s="35"/>
      <c r="I78" s="35"/>
      <c r="J78" s="35"/>
      <c r="K78" s="35"/>
    </row>
    <row r="79" spans="1:12">
      <c r="C79" s="35"/>
      <c r="E79" s="35"/>
      <c r="G79" s="35"/>
      <c r="I79" s="35"/>
      <c r="J79" s="35"/>
      <c r="K79" s="35"/>
    </row>
    <row r="85" spans="2:11">
      <c r="B85" s="7"/>
      <c r="C85" s="36"/>
      <c r="E85" s="36"/>
      <c r="G85" s="36"/>
      <c r="I85" s="36"/>
      <c r="J85" s="36"/>
      <c r="K85" s="36"/>
    </row>
    <row r="86" spans="2:11">
      <c r="B86" s="7"/>
      <c r="C86" s="36"/>
      <c r="E86" s="36"/>
      <c r="G86" s="36"/>
      <c r="I86" s="36"/>
      <c r="J86" s="36"/>
      <c r="K86" s="36"/>
    </row>
  </sheetData>
  <phoneticPr fontId="5" type="noConversion"/>
  <pageMargins left="0.71" right="0.71" top="0.75000000000000011" bottom="0.75000000000000011" header="0.31" footer="0.31"/>
  <pageSetup scale="66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&amp;&amp; Louise</dc:creator>
  <cp:lastModifiedBy>howie</cp:lastModifiedBy>
  <cp:lastPrinted>2018-05-18T15:01:14Z</cp:lastPrinted>
  <dcterms:created xsi:type="dcterms:W3CDTF">2010-05-13T04:09:38Z</dcterms:created>
  <dcterms:modified xsi:type="dcterms:W3CDTF">2018-05-18T15:02:04Z</dcterms:modified>
</cp:coreProperties>
</file>